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05" windowWidth="20730" windowHeight="952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</definedNames>
  <calcPr calcId="145621"/>
</workbook>
</file>

<file path=xl/calcChain.xml><?xml version="1.0" encoding="utf-8"?>
<calcChain xmlns="http://schemas.openxmlformats.org/spreadsheetml/2006/main">
  <c r="P38" i="1"/>
  <c r="P48"/>
  <c r="L38"/>
  <c r="P21"/>
  <c r="L21"/>
  <c r="L16" s="1"/>
  <c r="H38"/>
  <c r="P16"/>
  <c r="O16"/>
  <c r="G16"/>
  <c r="K16"/>
  <c r="E16"/>
  <c r="H16"/>
  <c r="P34" l="1"/>
  <c r="L23"/>
  <c r="L34"/>
  <c r="L32"/>
  <c r="H34"/>
  <c r="H27"/>
  <c r="L31"/>
  <c r="P31" s="1"/>
  <c r="H31"/>
  <c r="E34"/>
  <c r="D34"/>
  <c r="O20" l="1"/>
  <c r="K20"/>
  <c r="G20"/>
  <c r="H33"/>
  <c r="H32"/>
  <c r="P32" s="1"/>
  <c r="H20"/>
  <c r="H17"/>
  <c r="O27"/>
  <c r="K27"/>
  <c r="G27"/>
  <c r="E27"/>
  <c r="E22" s="1"/>
  <c r="E41"/>
  <c r="E17"/>
  <c r="L33" l="1"/>
  <c r="P33" s="1"/>
  <c r="H19"/>
  <c r="H29"/>
  <c r="P39"/>
  <c r="O39"/>
  <c r="L39"/>
  <c r="K39"/>
  <c r="H39"/>
  <c r="G39"/>
  <c r="E39"/>
  <c r="E14" s="1"/>
  <c r="E42" s="1"/>
  <c r="D39"/>
  <c r="H30"/>
  <c r="L20" l="1"/>
  <c r="P20" s="1"/>
  <c r="L29" l="1"/>
  <c r="L30"/>
  <c r="P30" s="1"/>
  <c r="L28"/>
  <c r="P28" s="1"/>
  <c r="L26"/>
  <c r="L17"/>
  <c r="P17" s="1"/>
  <c r="H23"/>
  <c r="H26" s="1"/>
  <c r="P23" l="1"/>
  <c r="P26" s="1"/>
  <c r="P29"/>
  <c r="P27" s="1"/>
  <c r="L27"/>
  <c r="L19"/>
  <c r="P19" s="1"/>
  <c r="O37" l="1"/>
  <c r="O34" s="1"/>
  <c r="K37"/>
  <c r="K34" s="1"/>
  <c r="G37"/>
  <c r="G34" s="1"/>
  <c r="D16" l="1"/>
  <c r="D14" s="1"/>
  <c r="D42" s="1"/>
  <c r="P45"/>
  <c r="O45"/>
  <c r="P44"/>
  <c r="O44"/>
  <c r="P24"/>
  <c r="O24"/>
  <c r="P22"/>
  <c r="P14" s="1"/>
  <c r="P42" s="1"/>
  <c r="P49" s="1"/>
  <c r="O22"/>
  <c r="O14" s="1"/>
  <c r="P10"/>
  <c r="P9" s="1"/>
  <c r="O10"/>
  <c r="O9" s="1"/>
  <c r="L45"/>
  <c r="K45"/>
  <c r="L44"/>
  <c r="K44"/>
  <c r="L24"/>
  <c r="K24"/>
  <c r="L22"/>
  <c r="K22"/>
  <c r="L10"/>
  <c r="L9" s="1"/>
  <c r="K10"/>
  <c r="K9" s="1"/>
  <c r="E44"/>
  <c r="G44"/>
  <c r="H44"/>
  <c r="E45"/>
  <c r="G45"/>
  <c r="H45"/>
  <c r="D45"/>
  <c r="D44"/>
  <c r="G22"/>
  <c r="E24"/>
  <c r="G24"/>
  <c r="H24"/>
  <c r="D24"/>
  <c r="H22"/>
  <c r="D22"/>
  <c r="E10"/>
  <c r="E9" s="1"/>
  <c r="G10"/>
  <c r="G9" s="1"/>
  <c r="H10"/>
  <c r="H9" s="1"/>
  <c r="D10"/>
  <c r="D9" s="1"/>
  <c r="K14" l="1"/>
  <c r="G14"/>
  <c r="H14"/>
  <c r="H42" s="1"/>
  <c r="L14"/>
  <c r="L42" s="1"/>
  <c r="H46"/>
  <c r="E46"/>
  <c r="D46"/>
  <c r="P43"/>
  <c r="G46"/>
  <c r="D43"/>
  <c r="K46"/>
  <c r="L46"/>
  <c r="P46"/>
  <c r="O46"/>
  <c r="E43" l="1"/>
  <c r="L43"/>
  <c r="N43" s="1"/>
  <c r="H43"/>
  <c r="F43" l="1"/>
  <c r="J43"/>
</calcChain>
</file>

<file path=xl/sharedStrings.xml><?xml version="1.0" encoding="utf-8"?>
<sst xmlns="http://schemas.openxmlformats.org/spreadsheetml/2006/main" count="197" uniqueCount="129">
  <si>
    <t>ООО "Эдельвейс М"</t>
  </si>
  <si>
    <t>№</t>
  </si>
  <si>
    <t>Наименование показателя</t>
  </si>
  <si>
    <t>Единицы измерения</t>
  </si>
  <si>
    <t>Обоснование отклонений</t>
  </si>
  <si>
    <t>индексы Минэкономразвития 2014/2013 гг.</t>
  </si>
  <si>
    <t>предложение организации</t>
  </si>
  <si>
    <t>предложение регулирующего органа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</si>
  <si>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</si>
  <si>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</si>
  <si>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</si>
  <si>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</si>
  <si>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</si>
  <si>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</si>
  <si>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</si>
  <si>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</si>
  <si>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</si>
  <si>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14</t>
  </si>
  <si>
    <t>15</t>
  </si>
  <si>
    <t>16</t>
  </si>
  <si>
    <t>Является ли организация плательщиком НДС</t>
  </si>
  <si>
    <t>нет</t>
  </si>
  <si>
    <t>Общий объём, в том числе:</t>
  </si>
  <si>
    <t>м3</t>
  </si>
  <si>
    <t>1.2</t>
  </si>
  <si>
    <t>Объём захороненных твердых бытовых отходов</t>
  </si>
  <si>
    <t>1.2.1</t>
  </si>
  <si>
    <t>население</t>
  </si>
  <si>
    <t>1.2.2</t>
  </si>
  <si>
    <t>бюджетные организации</t>
  </si>
  <si>
    <t>1.2.3</t>
  </si>
  <si>
    <t xml:space="preserve">прочие потребители </t>
  </si>
  <si>
    <t>Себестоимость</t>
  </si>
  <si>
    <t>тыс. руб.</t>
  </si>
  <si>
    <t>руб.</t>
  </si>
  <si>
    <t>чел.</t>
  </si>
  <si>
    <t>2.5</t>
  </si>
  <si>
    <t>Аренда основных средств</t>
  </si>
  <si>
    <t>Прочие</t>
  </si>
  <si>
    <t>2.7</t>
  </si>
  <si>
    <t>Прочие прямые расходы</t>
  </si>
  <si>
    <t>2.7.3</t>
  </si>
  <si>
    <t>Входной контроль (лабораторные анализы)</t>
  </si>
  <si>
    <t>2.7.4</t>
  </si>
  <si>
    <t>Лицензирование</t>
  </si>
  <si>
    <t>2.7.5</t>
  </si>
  <si>
    <t>Услуги техники сторонней организации по размещению отходов</t>
  </si>
  <si>
    <t>2.7.6</t>
  </si>
  <si>
    <t>Услуги персонала сторонней организации по размещению отходов</t>
  </si>
  <si>
    <t>2.9</t>
  </si>
  <si>
    <t>Общеэксплуатационные расходы, в том числе:</t>
  </si>
  <si>
    <t>2.9.1</t>
  </si>
  <si>
    <t>заработная плата АУП</t>
  </si>
  <si>
    <t>2.9.1.1</t>
  </si>
  <si>
    <t>среднемесячная оплата труда АУП</t>
  </si>
  <si>
    <t>2.9.1.2</t>
  </si>
  <si>
    <t>численность АУП</t>
  </si>
  <si>
    <t>2.9.2</t>
  </si>
  <si>
    <t>страховые взносы от заработной платы АУП</t>
  </si>
  <si>
    <t>2.9.8</t>
  </si>
  <si>
    <t>НВВ без НДС</t>
  </si>
  <si>
    <t>Тариф</t>
  </si>
  <si>
    <t>руб./м3</t>
  </si>
  <si>
    <t>ФОТ, всего</t>
  </si>
  <si>
    <t>Численность персонала, всего</t>
  </si>
  <si>
    <t>Среднемесячная заработная плата</t>
  </si>
  <si>
    <t>утверждено регулирующим органом с 01.07.2013 по 30.06.2014</t>
  </si>
  <si>
    <t>факт 2013 год</t>
  </si>
  <si>
    <t>Утилизация твердых бытовых отходов</t>
  </si>
  <si>
    <t>г. Мариинск</t>
  </si>
  <si>
    <t>Приложение № 1 к экспертному заключению</t>
  </si>
  <si>
    <t>оформление сертификатов</t>
  </si>
  <si>
    <t>канцтовары</t>
  </si>
  <si>
    <t>связь</t>
  </si>
  <si>
    <t>командировочные расходы</t>
  </si>
  <si>
    <t>нотариальные услуги</t>
  </si>
  <si>
    <t>2.9.8.1</t>
  </si>
  <si>
    <t>2.9.8.2</t>
  </si>
  <si>
    <t>2.9.8.3</t>
  </si>
  <si>
    <t>2.9.8.4</t>
  </si>
  <si>
    <t>2.9.8.5</t>
  </si>
  <si>
    <t>2.9.8.6</t>
  </si>
  <si>
    <t>Налоги, сборы, платежи - всего, из них:</t>
  </si>
  <si>
    <t>госпошлина</t>
  </si>
  <si>
    <t>комиссии банка</t>
  </si>
  <si>
    <t>прочие</t>
  </si>
  <si>
    <t>2.10.</t>
  </si>
  <si>
    <t>2.10.1</t>
  </si>
  <si>
    <t>2.10.2</t>
  </si>
  <si>
    <t>2.10.3</t>
  </si>
  <si>
    <t>аренда помещений, коммунальные услуги</t>
  </si>
  <si>
    <t>индексы Минэкономразвития 2015/2014 гг.</t>
  </si>
  <si>
    <t>10</t>
  </si>
  <si>
    <t>11</t>
  </si>
  <si>
    <t>12</t>
  </si>
  <si>
    <t>13</t>
  </si>
  <si>
    <t>17</t>
  </si>
  <si>
    <t>учтено на уровне представленного договора аренды № 01/2012 от 25.01.2012</t>
  </si>
  <si>
    <t>на уровне плана 2013-2014гг.</t>
  </si>
  <si>
    <t>учтено на уровне плана 2014-2015гг. с учетом индекса Минэкономразвития РФ 105,3%</t>
  </si>
  <si>
    <t>учтено на уровне плана 2015-2016гг. с учетом индекса Минэкономразвития РФ 104,1%</t>
  </si>
  <si>
    <t>учтено на уровне плана 2013-2014гг. с учетом индекса Минэкономразвития РФ 105,6%</t>
  </si>
  <si>
    <t>исходя из представленного штатного расписания</t>
  </si>
  <si>
    <t>в соответствии с действующим законодательством 30,3% от ФОТ</t>
  </si>
  <si>
    <t>учтено на уровне плана 2015-2016гг. с учетом индекса Минэкономразвития РФ 104,7%</t>
  </si>
  <si>
    <t>учтено на уровне фактических расходов за 2013 год  с учетом индекса Минэкономразвития РФ 105,2%</t>
  </si>
  <si>
    <t>учтено на уровне фактических расходов за 2013 год с учетом индекса Минэкономразвития РФ 105,2%</t>
  </si>
  <si>
    <t>2.13</t>
  </si>
  <si>
    <t>Прочие косвенные расходы</t>
  </si>
  <si>
    <t>2.13.1</t>
  </si>
  <si>
    <t>плата за негативное воздействие на окружающую среду</t>
  </si>
  <si>
    <t>2.13.2</t>
  </si>
  <si>
    <t>учтено на уровне факта 2013г. по договору на оказание услуг по размещению отходов</t>
  </si>
  <si>
    <t>на уровне плана 2013-2014гг.с учетом индекса Минэкономразвития РФ 105,2%</t>
  </si>
  <si>
    <t>с 01.08.2014 по 31.07.2015</t>
  </si>
  <si>
    <t>с 01.08.2015 по 31.07.2016</t>
  </si>
  <si>
    <t>с 01.08.2016 по 31.07.2017</t>
  </si>
  <si>
    <t>прочие(почтовые расходы, штрафы)</t>
  </si>
  <si>
    <t xml:space="preserve">учтено на уровне договора на оказание услуг по "замерам радиационного фона полигона, исследования почвы на санитарно-химические показатели" </t>
  </si>
  <si>
    <t>отклонено в связи с отсутствиео обоснования</t>
  </si>
  <si>
    <t>единый налог, уплачиваемый организацией, применяющей упрощенную систему налогообложения</t>
  </si>
  <si>
    <t>в соответствии с действующим законодательством 1/2 от 6% от доходов</t>
  </si>
  <si>
    <t>учтено на уровне договора аренды от 01.03.2014 № б/н</t>
  </si>
  <si>
    <t>учтено на уровне плана 2014-2015гг. с учетом индекса Минэкономразвития РФ 104,7% в рамках соблюдения предельного индекса</t>
  </si>
  <si>
    <t>учтено исходя из представленного договора на услуги связи и с-ф за апрель 2014г. в пересчете на год  (в факте 2013 года  учитывалась в аренде помещений)</t>
  </si>
  <si>
    <t>2.10.4</t>
  </si>
  <si>
    <t>2.7.7</t>
  </si>
  <si>
    <t>Изоляция твердых бытовых отходов, отсыпка дороги</t>
  </si>
  <si>
    <t>учтено исходя из дополнительно представленных материалов на уровне суммарных объемов по шлаку, песку, глине по факту 2013 года (49т.) в пересчете на стоимость глины (850руб.т) по изоляции и фактическому объему (7т.) и стоимости щебня (2800руб./м3) по отсыпке дороги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</si>
</sst>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2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b/>
      <u/>
      <sz val="9"/>
      <color indexed="12"/>
      <name val="Tahoma"/>
      <family val="2"/>
      <charset val="204"/>
    </font>
    <font>
      <b/>
      <sz val="9"/>
      <color indexed="23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9"/>
      <color rgb="FFC00000"/>
      <name val="Tahoma"/>
      <family val="2"/>
      <charset val="204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7" fillId="0" borderId="0">
      <alignment horizontal="left" vertical="center"/>
    </xf>
    <xf numFmtId="0" fontId="19" fillId="32" borderId="10" applyNumberFormat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7" fillId="7" borderId="8" applyNumberFormat="0" applyFont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18" fillId="0" borderId="11" xfId="40" applyFont="1" applyBorder="1" applyAlignment="1">
      <alignment horizontal="center" vertical="center" wrapText="1"/>
    </xf>
    <xf numFmtId="49" fontId="21" fillId="0" borderId="11" xfId="40" applyNumberFormat="1" applyFont="1" applyBorder="1" applyAlignment="1">
      <alignment horizontal="center" vertical="center"/>
    </xf>
    <xf numFmtId="49" fontId="18" fillId="0" borderId="11" xfId="40" applyNumberFormat="1" applyFont="1" applyBorder="1" applyAlignment="1">
      <alignment horizontal="center" vertical="center"/>
    </xf>
    <xf numFmtId="49" fontId="18" fillId="0" borderId="11" xfId="40" applyNumberFormat="1" applyFont="1" applyBorder="1" applyAlignment="1">
      <alignment horizontal="center" vertical="center" wrapText="1"/>
    </xf>
    <xf numFmtId="49" fontId="18" fillId="36" borderId="11" xfId="40" applyNumberFormat="1" applyFont="1" applyFill="1" applyBorder="1" applyAlignment="1" applyProtection="1">
      <alignment horizontal="center" vertical="center"/>
    </xf>
    <xf numFmtId="0" fontId="18" fillId="36" borderId="11" xfId="40" applyFont="1" applyFill="1" applyBorder="1" applyAlignment="1" applyProtection="1">
      <alignment horizontal="left" vertical="center" wrapText="1"/>
    </xf>
    <xf numFmtId="49" fontId="18" fillId="36" borderId="11" xfId="40" applyNumberFormat="1" applyFont="1" applyFill="1" applyBorder="1" applyAlignment="1" applyProtection="1">
      <alignment horizontal="center" vertical="center" wrapText="1"/>
    </xf>
    <xf numFmtId="4" fontId="18" fillId="34" borderId="11" xfId="40" applyNumberFormat="1" applyFont="1" applyFill="1" applyBorder="1" applyAlignment="1" applyProtection="1">
      <alignment horizontal="right" vertical="center"/>
    </xf>
    <xf numFmtId="49" fontId="17" fillId="0" borderId="11" xfId="40" applyNumberFormat="1" applyBorder="1" applyAlignment="1">
      <alignment horizontal="center" vertical="center"/>
    </xf>
    <xf numFmtId="0" fontId="17" fillId="0" borderId="11" xfId="40" applyBorder="1" applyAlignment="1">
      <alignment horizontal="left" vertical="center" wrapText="1" indent="1"/>
    </xf>
    <xf numFmtId="49" fontId="17" fillId="0" borderId="11" xfId="40" applyNumberFormat="1" applyBorder="1" applyAlignment="1">
      <alignment horizontal="center" vertical="center" wrapText="1"/>
    </xf>
    <xf numFmtId="4" fontId="17" fillId="33" borderId="11" xfId="40" applyNumberFormat="1" applyFill="1" applyBorder="1" applyAlignment="1" applyProtection="1">
      <alignment horizontal="right" vertical="center"/>
      <protection locked="0"/>
    </xf>
    <xf numFmtId="4" fontId="17" fillId="34" borderId="11" xfId="40" applyNumberFormat="1" applyFill="1" applyBorder="1" applyAlignment="1" applyProtection="1">
      <alignment horizontal="right" vertical="center"/>
    </xf>
    <xf numFmtId="0" fontId="17" fillId="0" borderId="11" xfId="40" applyBorder="1" applyAlignment="1">
      <alignment horizontal="left" vertical="center" wrapText="1" indent="2"/>
    </xf>
    <xf numFmtId="0" fontId="18" fillId="0" borderId="11" xfId="40" applyFont="1" applyBorder="1" applyAlignment="1">
      <alignment horizontal="left" vertical="center" wrapText="1" indent="1"/>
    </xf>
    <xf numFmtId="4" fontId="18" fillId="33" borderId="11" xfId="40" applyNumberFormat="1" applyFont="1" applyFill="1" applyBorder="1" applyAlignment="1" applyProtection="1">
      <alignment horizontal="right" vertical="center"/>
      <protection locked="0"/>
    </xf>
    <xf numFmtId="0" fontId="17" fillId="0" borderId="11" xfId="40" applyBorder="1" applyAlignment="1">
      <alignment horizontal="left" vertical="center" wrapText="1" indent="3"/>
    </xf>
    <xf numFmtId="0" fontId="17" fillId="35" borderId="11" xfId="40" applyNumberFormat="1" applyFill="1" applyBorder="1" applyAlignment="1" applyProtection="1">
      <alignment horizontal="left" vertical="center" wrapText="1" indent="2"/>
      <protection locked="0"/>
    </xf>
    <xf numFmtId="0" fontId="0" fillId="0" borderId="0" xfId="0" applyFill="1" applyBorder="1"/>
    <xf numFmtId="0" fontId="0" fillId="0" borderId="0" xfId="0" applyAlignment="1">
      <alignment horizontal="right"/>
    </xf>
    <xf numFmtId="0" fontId="18" fillId="0" borderId="11" xfId="40" applyFont="1" applyBorder="1" applyAlignment="1">
      <alignment horizontal="center" vertical="center" wrapText="1"/>
    </xf>
    <xf numFmtId="0" fontId="18" fillId="33" borderId="11" xfId="40" applyNumberFormat="1" applyFont="1" applyFill="1" applyBorder="1" applyAlignment="1" applyProtection="1">
      <alignment horizontal="center" vertical="center"/>
      <protection locked="0"/>
    </xf>
    <xf numFmtId="164" fontId="18" fillId="33" borderId="11" xfId="40" applyNumberFormat="1" applyFont="1" applyFill="1" applyBorder="1" applyAlignment="1" applyProtection="1">
      <alignment horizontal="right" vertical="center"/>
      <protection locked="0"/>
    </xf>
    <xf numFmtId="164" fontId="17" fillId="33" borderId="11" xfId="40" applyNumberFormat="1" applyFont="1" applyFill="1" applyBorder="1" applyAlignment="1" applyProtection="1">
      <alignment horizontal="left" vertical="center" wrapText="1"/>
      <protection locked="0"/>
    </xf>
    <xf numFmtId="165" fontId="17" fillId="33" borderId="11" xfId="44" applyNumberFormat="1" applyFont="1" applyFill="1" applyBorder="1" applyAlignment="1" applyProtection="1">
      <alignment horizontal="right" vertical="center"/>
      <protection locked="0"/>
    </xf>
    <xf numFmtId="4" fontId="22" fillId="33" borderId="11" xfId="40" applyNumberFormat="1" applyFont="1" applyFill="1" applyBorder="1" applyAlignment="1" applyProtection="1">
      <alignment horizontal="right" vertical="center"/>
      <protection locked="0"/>
    </xf>
    <xf numFmtId="49" fontId="18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left" vertical="center" wrapText="1" indent="1"/>
    </xf>
    <xf numFmtId="49" fontId="18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 wrapText="1"/>
    </xf>
    <xf numFmtId="4" fontId="17" fillId="33" borderId="11" xfId="40" applyNumberFormat="1" applyFont="1" applyFill="1" applyBorder="1" applyAlignment="1" applyProtection="1">
      <alignment horizontal="right" vertical="center"/>
      <protection locked="0"/>
    </xf>
    <xf numFmtId="164" fontId="18" fillId="33" borderId="11" xfId="4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/>
    <xf numFmtId="4" fontId="23" fillId="34" borderId="11" xfId="40" applyNumberFormat="1" applyFont="1" applyFill="1" applyBorder="1" applyAlignment="1" applyProtection="1">
      <alignment horizontal="right" vertical="center"/>
    </xf>
    <xf numFmtId="4" fontId="17" fillId="37" borderId="11" xfId="40" applyNumberFormat="1" applyFill="1" applyBorder="1" applyAlignment="1" applyProtection="1">
      <alignment horizontal="right" vertical="center"/>
      <protection locked="0"/>
    </xf>
    <xf numFmtId="2" fontId="0" fillId="0" borderId="0" xfId="0" applyNumberFormat="1"/>
    <xf numFmtId="0" fontId="18" fillId="0" borderId="11" xfId="40" applyFont="1" applyBorder="1" applyAlignment="1">
      <alignment horizontal="center" vertical="center" wrapText="1"/>
    </xf>
    <xf numFmtId="0" fontId="18" fillId="33" borderId="11" xfId="40" applyNumberFormat="1" applyFont="1" applyFill="1" applyBorder="1" applyAlignment="1" applyProtection="1">
      <alignment horizontal="center" vertical="center"/>
      <protection locked="0"/>
    </xf>
    <xf numFmtId="0" fontId="18" fillId="0" borderId="0" xfId="40" applyFont="1" applyFill="1" applyBorder="1" applyAlignment="1" applyProtection="1">
      <alignment horizontal="center" vertical="center" wrapText="1"/>
    </xf>
    <xf numFmtId="0" fontId="18" fillId="34" borderId="11" xfId="40" applyNumberFormat="1" applyFont="1" applyFill="1" applyBorder="1" applyAlignment="1" applyProtection="1">
      <alignment horizontal="center" vertical="center"/>
    </xf>
    <xf numFmtId="0" fontId="18" fillId="0" borderId="12" xfId="40" applyFont="1" applyBorder="1" applyAlignment="1">
      <alignment horizontal="center" vertical="center" wrapText="1"/>
    </xf>
    <xf numFmtId="0" fontId="18" fillId="0" borderId="13" xfId="40" applyFont="1" applyBorder="1" applyAlignment="1">
      <alignment horizontal="center" vertical="center" wrapText="1"/>
    </xf>
    <xf numFmtId="0" fontId="18" fillId="0" borderId="14" xfId="40" applyFont="1" applyBorder="1" applyAlignment="1">
      <alignment horizontal="center" vertical="center" wrapText="1"/>
    </xf>
  </cellXfs>
  <cellStyles count="45">
    <cellStyle name="20% - Акцент1" xfId="17" builtinId="30" hidden="1"/>
    <cellStyle name="20% - Акцент2" xfId="21" builtinId="34" hidden="1"/>
    <cellStyle name="20% - Акцент3" xfId="25" builtinId="38" hidden="1"/>
    <cellStyle name="20% - Акцент4" xfId="29" builtinId="42" hidden="1"/>
    <cellStyle name="20% - Акцент5" xfId="33" builtinId="46" hidden="1"/>
    <cellStyle name="20% - Акцент6" xfId="37" builtinId="50" hidden="1"/>
    <cellStyle name="40% - Акцент1" xfId="18" builtinId="31" hidden="1"/>
    <cellStyle name="40% - Акцент2" xfId="22" builtinId="35" hidden="1"/>
    <cellStyle name="40% - Акцент3" xfId="26" builtinId="39" hidden="1"/>
    <cellStyle name="40% - Акцент4" xfId="30" builtinId="43" hidden="1"/>
    <cellStyle name="40% - Акцент5" xfId="34" builtinId="47" hidden="1"/>
    <cellStyle name="40% - Акцент6" xfId="38" builtinId="51" hidden="1"/>
    <cellStyle name="60% - Акцент1" xfId="19" builtinId="32" hidden="1"/>
    <cellStyle name="60% - Акцент2" xfId="23" builtinId="36" hidden="1"/>
    <cellStyle name="60% - Акцент3" xfId="27" builtinId="40" hidden="1"/>
    <cellStyle name="60% - Акцент4" xfId="31" builtinId="44" hidden="1"/>
    <cellStyle name="60% - Акцент5" xfId="35" builtinId="48" hidden="1"/>
    <cellStyle name="60% - Акцент6" xfId="39" builtinId="52" hidden="1"/>
    <cellStyle name="Акцент1" xfId="16" builtinId="29" hidden="1"/>
    <cellStyle name="Акцент2" xfId="20" builtinId="33" hidden="1"/>
    <cellStyle name="Акцент3" xfId="24" builtinId="37" hidden="1"/>
    <cellStyle name="Акцент4" xfId="28" builtinId="41" hidden="1"/>
    <cellStyle name="Акцент5" xfId="32" builtinId="45" hidden="1"/>
    <cellStyle name="Акцент6" xfId="36" builtinId="49" hidden="1"/>
    <cellStyle name="Ввод  2" xfId="41"/>
    <cellStyle name="Вывод" xfId="9" builtinId="21" hidden="1"/>
    <cellStyle name="Вычисление" xfId="10" builtinId="22" hidden="1"/>
    <cellStyle name="Гиперссылка" xfId="42" builtinId="8" customBuiltin="1"/>
    <cellStyle name="Заголовок 1" xfId="2" builtinId="16" hidden="1"/>
    <cellStyle name="Заголовок 2" xfId="3" builtinId="17" hidden="1"/>
    <cellStyle name="Заголовок 3" xfId="4" builtinId="18" hidden="1"/>
    <cellStyle name="Заголовок 4" xfId="5" builtinId="19" hidden="1"/>
    <cellStyle name="Итог" xfId="15" builtinId="25" hidden="1"/>
    <cellStyle name="Контрольная ячейка" xfId="12" builtinId="23" hidden="1"/>
    <cellStyle name="Название" xfId="1" builtinId="15" hidden="1"/>
    <cellStyle name="Нейтральный" xfId="8" builtinId="28" hidden="1"/>
    <cellStyle name="Обычный" xfId="0" builtinId="0"/>
    <cellStyle name="Обычный 2" xfId="40"/>
    <cellStyle name="Плохой" xfId="7" builtinId="27" hidden="1"/>
    <cellStyle name="Пояснение" xfId="14" builtinId="53" hidden="1"/>
    <cellStyle name="Примечание 2" xfId="43"/>
    <cellStyle name="Процентный" xfId="44" builtinId="5"/>
    <cellStyle name="Связанная ячейка" xfId="11" builtinId="24" hidden="1"/>
    <cellStyle name="Текст предупреждения" xfId="13" builtinId="11" hidden="1"/>
    <cellStyle name="Хороший" xfId="6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topLeftCell="A28" workbookViewId="0">
      <selection activeCell="G48" sqref="G48"/>
    </sheetView>
  </sheetViews>
  <sheetFormatPr defaultRowHeight="15"/>
  <cols>
    <col min="1" max="1" width="7.85546875" customWidth="1"/>
    <col min="2" max="2" width="32.140625" customWidth="1"/>
    <col min="3" max="3" width="11.5703125" customWidth="1"/>
    <col min="4" max="4" width="15.140625" customWidth="1"/>
    <col min="5" max="5" width="14" customWidth="1"/>
    <col min="6" max="6" width="11" customWidth="1"/>
    <col min="7" max="7" width="13.5703125" customWidth="1"/>
    <col min="8" max="8" width="16" customWidth="1"/>
    <col min="9" max="9" width="16.42578125" customWidth="1"/>
    <col min="10" max="10" width="11.7109375" customWidth="1"/>
    <col min="11" max="11" width="13.7109375" customWidth="1"/>
    <col min="12" max="12" width="16" customWidth="1"/>
    <col min="13" max="13" width="15.5703125" customWidth="1"/>
    <col min="14" max="14" width="11.42578125" customWidth="1"/>
    <col min="15" max="15" width="14.7109375" customWidth="1"/>
    <col min="16" max="16" width="16" customWidth="1"/>
    <col min="17" max="17" width="15.28515625" customWidth="1"/>
  </cols>
  <sheetData>
    <row r="1" spans="1:17">
      <c r="Q1" s="20" t="s">
        <v>70</v>
      </c>
    </row>
    <row r="2" spans="1:17" s="19" customForma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s="19" customFormat="1">
      <c r="A3" s="40" t="s">
        <v>69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s="19" customFormat="1">
      <c r="A4" s="40" t="s">
        <v>68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15" customHeight="1">
      <c r="A5" s="38" t="s">
        <v>1</v>
      </c>
      <c r="B5" s="38" t="s">
        <v>2</v>
      </c>
      <c r="C5" s="38" t="s">
        <v>3</v>
      </c>
      <c r="D5" s="38" t="s">
        <v>66</v>
      </c>
      <c r="E5" s="38" t="s">
        <v>67</v>
      </c>
      <c r="F5" s="42" t="s">
        <v>114</v>
      </c>
      <c r="G5" s="43"/>
      <c r="H5" s="44"/>
      <c r="I5" s="38" t="s">
        <v>4</v>
      </c>
      <c r="J5" s="42" t="s">
        <v>115</v>
      </c>
      <c r="K5" s="43"/>
      <c r="L5" s="44"/>
      <c r="M5" s="38" t="s">
        <v>4</v>
      </c>
      <c r="N5" s="42" t="s">
        <v>116</v>
      </c>
      <c r="O5" s="43"/>
      <c r="P5" s="44"/>
      <c r="Q5" s="38" t="s">
        <v>4</v>
      </c>
    </row>
    <row r="6" spans="1:17" ht="56.25">
      <c r="A6" s="38"/>
      <c r="B6" s="38"/>
      <c r="C6" s="38"/>
      <c r="D6" s="38"/>
      <c r="E6" s="38"/>
      <c r="F6" s="21" t="s">
        <v>5</v>
      </c>
      <c r="G6" s="1" t="s">
        <v>6</v>
      </c>
      <c r="H6" s="1" t="s">
        <v>7</v>
      </c>
      <c r="I6" s="38"/>
      <c r="J6" s="21" t="s">
        <v>91</v>
      </c>
      <c r="K6" s="1" t="s">
        <v>6</v>
      </c>
      <c r="L6" s="1" t="s">
        <v>7</v>
      </c>
      <c r="M6" s="38"/>
      <c r="N6" s="21" t="s">
        <v>5</v>
      </c>
      <c r="O6" s="1" t="s">
        <v>6</v>
      </c>
      <c r="P6" s="1" t="s">
        <v>7</v>
      </c>
      <c r="Q6" s="38"/>
    </row>
    <row r="7" spans="1:17">
      <c r="A7" s="2" t="s">
        <v>8</v>
      </c>
      <c r="B7" s="2" t="s">
        <v>9</v>
      </c>
      <c r="C7" s="2" t="s">
        <v>10</v>
      </c>
      <c r="D7" s="2" t="s">
        <v>11</v>
      </c>
      <c r="E7" s="2" t="s">
        <v>12</v>
      </c>
      <c r="F7" s="2" t="s">
        <v>13</v>
      </c>
      <c r="G7" s="2" t="s">
        <v>14</v>
      </c>
      <c r="H7" s="2" t="s">
        <v>15</v>
      </c>
      <c r="I7" s="2" t="s">
        <v>16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17</v>
      </c>
      <c r="O7" s="2" t="s">
        <v>18</v>
      </c>
      <c r="P7" s="2" t="s">
        <v>19</v>
      </c>
      <c r="Q7" s="2" t="s">
        <v>96</v>
      </c>
    </row>
    <row r="8" spans="1:17" ht="22.5">
      <c r="A8" s="3"/>
      <c r="B8" s="1" t="s">
        <v>20</v>
      </c>
      <c r="C8" s="4"/>
      <c r="D8" s="41" t="s">
        <v>21</v>
      </c>
      <c r="E8" s="41"/>
      <c r="F8" s="12"/>
      <c r="G8" s="39"/>
      <c r="H8" s="39"/>
      <c r="I8" s="24"/>
      <c r="J8" s="22"/>
      <c r="K8" s="39"/>
      <c r="L8" s="39"/>
      <c r="M8" s="24"/>
      <c r="N8" s="22"/>
      <c r="O8" s="39"/>
      <c r="P8" s="39"/>
      <c r="Q8" s="24"/>
    </row>
    <row r="9" spans="1:17" ht="22.5">
      <c r="A9" s="5" t="s">
        <v>8</v>
      </c>
      <c r="B9" s="6" t="s">
        <v>22</v>
      </c>
      <c r="C9" s="7" t="s">
        <v>23</v>
      </c>
      <c r="D9" s="8">
        <f>D10</f>
        <v>52767.86</v>
      </c>
      <c r="E9" s="8">
        <f>E10</f>
        <v>52301.14</v>
      </c>
      <c r="F9" s="12"/>
      <c r="G9" s="8">
        <f>G10</f>
        <v>52301.14</v>
      </c>
      <c r="H9" s="8">
        <f>H10</f>
        <v>52767.86</v>
      </c>
      <c r="I9" s="24" t="s">
        <v>98</v>
      </c>
      <c r="J9" s="12"/>
      <c r="K9" s="8">
        <f>K10</f>
        <v>53214.200000000004</v>
      </c>
      <c r="L9" s="8">
        <f>L10</f>
        <v>52767.86</v>
      </c>
      <c r="M9" s="24" t="s">
        <v>98</v>
      </c>
      <c r="N9" s="12"/>
      <c r="O9" s="8">
        <f>O10</f>
        <v>54878</v>
      </c>
      <c r="P9" s="8">
        <f>P10</f>
        <v>52767.86</v>
      </c>
      <c r="Q9" s="24" t="s">
        <v>98</v>
      </c>
    </row>
    <row r="10" spans="1:17" ht="22.5" hidden="1">
      <c r="A10" s="9" t="s">
        <v>24</v>
      </c>
      <c r="B10" s="10" t="s">
        <v>25</v>
      </c>
      <c r="C10" s="11" t="s">
        <v>23</v>
      </c>
      <c r="D10" s="13">
        <f>D11+D12+D13</f>
        <v>52767.86</v>
      </c>
      <c r="E10" s="13">
        <f t="shared" ref="E10:H10" si="0">E11+E12+E13</f>
        <v>52301.14</v>
      </c>
      <c r="F10" s="12"/>
      <c r="G10" s="13">
        <f t="shared" si="0"/>
        <v>52301.14</v>
      </c>
      <c r="H10" s="13">
        <f t="shared" si="0"/>
        <v>52767.86</v>
      </c>
      <c r="I10" s="24"/>
      <c r="J10" s="12"/>
      <c r="K10" s="13">
        <f t="shared" ref="K10" si="1">K11+K12+K13</f>
        <v>53214.200000000004</v>
      </c>
      <c r="L10" s="13">
        <f t="shared" ref="L10" si="2">L11+L12+L13</f>
        <v>52767.86</v>
      </c>
      <c r="M10" s="24"/>
      <c r="N10" s="12"/>
      <c r="O10" s="13">
        <f t="shared" ref="O10" si="3">O11+O12+O13</f>
        <v>54878</v>
      </c>
      <c r="P10" s="13">
        <f t="shared" ref="P10" si="4">P11+P12+P13</f>
        <v>52767.86</v>
      </c>
      <c r="Q10" s="24"/>
    </row>
    <row r="11" spans="1:17">
      <c r="A11" s="9" t="s">
        <v>26</v>
      </c>
      <c r="B11" s="14" t="s">
        <v>27</v>
      </c>
      <c r="C11" s="11" t="s">
        <v>23</v>
      </c>
      <c r="D11" s="12">
        <v>33993.61</v>
      </c>
      <c r="E11" s="12">
        <v>29764.7</v>
      </c>
      <c r="F11" s="12"/>
      <c r="G11" s="12">
        <v>29764.7</v>
      </c>
      <c r="H11" s="12">
        <v>33993.61</v>
      </c>
      <c r="I11" s="24"/>
      <c r="J11" s="12"/>
      <c r="K11" s="12">
        <v>30450.799999999999</v>
      </c>
      <c r="L11" s="12">
        <v>33993.61</v>
      </c>
      <c r="M11" s="24"/>
      <c r="N11" s="12"/>
      <c r="O11" s="12">
        <v>31210.9</v>
      </c>
      <c r="P11" s="12">
        <v>33993.61</v>
      </c>
      <c r="Q11" s="24"/>
    </row>
    <row r="12" spans="1:17">
      <c r="A12" s="9" t="s">
        <v>28</v>
      </c>
      <c r="B12" s="14" t="s">
        <v>29</v>
      </c>
      <c r="C12" s="11" t="s">
        <v>23</v>
      </c>
      <c r="D12" s="12">
        <v>5793.72</v>
      </c>
      <c r="E12" s="12">
        <v>3125.1</v>
      </c>
      <c r="F12" s="12"/>
      <c r="G12" s="12">
        <v>3125.1</v>
      </c>
      <c r="H12" s="12">
        <v>5793.72</v>
      </c>
      <c r="I12" s="24"/>
      <c r="J12" s="12"/>
      <c r="K12" s="12">
        <v>3220</v>
      </c>
      <c r="L12" s="12">
        <v>5793.72</v>
      </c>
      <c r="M12" s="24"/>
      <c r="N12" s="12"/>
      <c r="O12" s="12">
        <v>3300</v>
      </c>
      <c r="P12" s="12">
        <v>5793.72</v>
      </c>
      <c r="Q12" s="24"/>
    </row>
    <row r="13" spans="1:17">
      <c r="A13" s="9" t="s">
        <v>30</v>
      </c>
      <c r="B13" s="14" t="s">
        <v>31</v>
      </c>
      <c r="C13" s="11" t="s">
        <v>23</v>
      </c>
      <c r="D13" s="12">
        <v>12980.53</v>
      </c>
      <c r="E13" s="12">
        <v>19411.34</v>
      </c>
      <c r="F13" s="12"/>
      <c r="G13" s="12">
        <v>19411.34</v>
      </c>
      <c r="H13" s="12">
        <v>12980.53</v>
      </c>
      <c r="I13" s="24"/>
      <c r="J13" s="12"/>
      <c r="K13" s="12">
        <v>19543.400000000001</v>
      </c>
      <c r="L13" s="12">
        <v>12980.53</v>
      </c>
      <c r="M13" s="24"/>
      <c r="N13" s="12"/>
      <c r="O13" s="12">
        <v>20367.099999999999</v>
      </c>
      <c r="P13" s="12">
        <v>12980.53</v>
      </c>
      <c r="Q13" s="24"/>
    </row>
    <row r="14" spans="1:17">
      <c r="A14" s="5" t="s">
        <v>9</v>
      </c>
      <c r="B14" s="6" t="s">
        <v>32</v>
      </c>
      <c r="C14" s="7" t="s">
        <v>33</v>
      </c>
      <c r="D14" s="8">
        <f>D15+D16+D22+D34+D39</f>
        <v>2505.9499999999998</v>
      </c>
      <c r="E14" s="8">
        <f>E15+E16+E22+E34+E39</f>
        <v>4181.07</v>
      </c>
      <c r="F14" s="12"/>
      <c r="G14" s="8">
        <f>G15+G16+G22+G34+G39</f>
        <v>4000.9300000000003</v>
      </c>
      <c r="H14" s="8">
        <f>H15+H16+H22+H34+H39</f>
        <v>2460.0361216000001</v>
      </c>
      <c r="I14" s="24"/>
      <c r="J14" s="12"/>
      <c r="K14" s="8">
        <f>K15+K16+K22+K34+K39</f>
        <v>4403.83</v>
      </c>
      <c r="L14" s="8">
        <f>L15+L16+L22+L34+L39</f>
        <v>2563.9935698193922</v>
      </c>
      <c r="M14" s="24"/>
      <c r="N14" s="12"/>
      <c r="O14" s="8">
        <f>O15+O16+O22+O34+O39</f>
        <v>4662.84</v>
      </c>
      <c r="P14" s="8">
        <f>P15+P16+P22+P34+P39</f>
        <v>2660.5508680080602</v>
      </c>
      <c r="Q14" s="24"/>
    </row>
    <row r="15" spans="1:17" ht="67.5">
      <c r="A15" s="3" t="s">
        <v>36</v>
      </c>
      <c r="B15" s="15" t="s">
        <v>37</v>
      </c>
      <c r="C15" s="4" t="s">
        <v>33</v>
      </c>
      <c r="D15" s="16">
        <v>312</v>
      </c>
      <c r="E15" s="16">
        <v>312</v>
      </c>
      <c r="F15" s="23">
        <v>1</v>
      </c>
      <c r="G15" s="16">
        <v>320</v>
      </c>
      <c r="H15" s="16">
        <v>312</v>
      </c>
      <c r="I15" s="24" t="s">
        <v>97</v>
      </c>
      <c r="J15" s="23">
        <v>1</v>
      </c>
      <c r="K15" s="16">
        <v>320</v>
      </c>
      <c r="L15" s="16">
        <v>312</v>
      </c>
      <c r="M15" s="24" t="s">
        <v>97</v>
      </c>
      <c r="N15" s="23">
        <v>1</v>
      </c>
      <c r="O15" s="16">
        <v>320</v>
      </c>
      <c r="P15" s="16">
        <v>312</v>
      </c>
      <c r="Q15" s="24" t="s">
        <v>97</v>
      </c>
    </row>
    <row r="16" spans="1:17" ht="67.5">
      <c r="A16" s="3" t="s">
        <v>39</v>
      </c>
      <c r="B16" s="15" t="s">
        <v>40</v>
      </c>
      <c r="C16" s="4" t="s">
        <v>33</v>
      </c>
      <c r="D16" s="8">
        <f>D17+D18+D19+D20</f>
        <v>1119.67</v>
      </c>
      <c r="E16" s="8">
        <f>E17+E18+E19+E20+E21</f>
        <v>2313.98</v>
      </c>
      <c r="F16" s="23">
        <v>1.052</v>
      </c>
      <c r="G16" s="8">
        <f>G17+G18+G19+G20+G21</f>
        <v>2630.92</v>
      </c>
      <c r="H16" s="8">
        <f>H17+H18+H19+H20+H21</f>
        <v>1228.4106400000001</v>
      </c>
      <c r="I16" s="24"/>
      <c r="J16" s="23">
        <v>1.0529999999999999</v>
      </c>
      <c r="K16" s="8">
        <f>K17+K18+K19+K20+K21</f>
        <v>2992.33</v>
      </c>
      <c r="L16" s="8">
        <f>L17+L18+L19+L20+L21</f>
        <v>1293.5164039200001</v>
      </c>
      <c r="M16" s="24" t="s">
        <v>99</v>
      </c>
      <c r="N16" s="23">
        <v>1.0409999999999999</v>
      </c>
      <c r="O16" s="8">
        <f>O17+O18+O19+O20+O21</f>
        <v>3200.84</v>
      </c>
      <c r="P16" s="8">
        <f>P17+P18+P19+P20+P21</f>
        <v>1346.5505764807199</v>
      </c>
      <c r="Q16" s="24" t="s">
        <v>100</v>
      </c>
    </row>
    <row r="17" spans="1:17" ht="130.5" customHeight="1">
      <c r="A17" s="9" t="s">
        <v>41</v>
      </c>
      <c r="B17" s="18" t="s">
        <v>42</v>
      </c>
      <c r="C17" s="11" t="s">
        <v>33</v>
      </c>
      <c r="D17" s="12">
        <v>72.41</v>
      </c>
      <c r="E17" s="32">
        <f>91.5+29.48</f>
        <v>120.98</v>
      </c>
      <c r="F17" s="12"/>
      <c r="G17" s="12">
        <v>366</v>
      </c>
      <c r="H17" s="12">
        <f>18104.74*4/1000</f>
        <v>72.418960000000013</v>
      </c>
      <c r="I17" s="24" t="s">
        <v>118</v>
      </c>
      <c r="J17" s="12"/>
      <c r="K17" s="12">
        <v>387</v>
      </c>
      <c r="L17" s="12">
        <f>H17*1.053</f>
        <v>76.257164880000005</v>
      </c>
      <c r="M17" s="24"/>
      <c r="N17" s="12"/>
      <c r="O17" s="12">
        <v>399</v>
      </c>
      <c r="P17" s="12">
        <f>L17*1.041</f>
        <v>79.383708640080002</v>
      </c>
      <c r="Q17" s="24"/>
    </row>
    <row r="18" spans="1:17">
      <c r="A18" s="9" t="s">
        <v>43</v>
      </c>
      <c r="B18" s="18" t="s">
        <v>44</v>
      </c>
      <c r="C18" s="11" t="s">
        <v>33</v>
      </c>
      <c r="D18" s="12">
        <v>39.92</v>
      </c>
      <c r="E18" s="12"/>
      <c r="F18" s="12"/>
      <c r="G18" s="12"/>
      <c r="H18" s="12"/>
      <c r="I18" s="24"/>
      <c r="J18" s="12"/>
      <c r="K18" s="12"/>
      <c r="L18" s="12"/>
      <c r="M18" s="24"/>
      <c r="N18" s="12"/>
      <c r="O18" s="12"/>
      <c r="P18" s="12"/>
      <c r="Q18" s="24"/>
    </row>
    <row r="19" spans="1:17" ht="56.25">
      <c r="A19" s="9" t="s">
        <v>45</v>
      </c>
      <c r="B19" s="18" t="s">
        <v>46</v>
      </c>
      <c r="C19" s="11" t="s">
        <v>33</v>
      </c>
      <c r="D19" s="12">
        <v>692.34</v>
      </c>
      <c r="E19" s="12">
        <v>1713.4</v>
      </c>
      <c r="F19" s="12"/>
      <c r="G19" s="12">
        <v>1788.8</v>
      </c>
      <c r="H19" s="32">
        <f>D19*1.052</f>
        <v>728.34168000000011</v>
      </c>
      <c r="I19" s="24" t="s">
        <v>113</v>
      </c>
      <c r="J19" s="12"/>
      <c r="K19" s="12">
        <v>1958</v>
      </c>
      <c r="L19" s="12">
        <f>H19*1.053</f>
        <v>766.94378904000007</v>
      </c>
      <c r="M19" s="24"/>
      <c r="N19" s="12"/>
      <c r="O19" s="12">
        <v>2142</v>
      </c>
      <c r="P19" s="12">
        <f>L19*1.041</f>
        <v>798.38848439063997</v>
      </c>
      <c r="Q19" s="24"/>
    </row>
    <row r="20" spans="1:17" ht="67.5">
      <c r="A20" s="9" t="s">
        <v>47</v>
      </c>
      <c r="B20" s="18" t="s">
        <v>48</v>
      </c>
      <c r="C20" s="11" t="s">
        <v>33</v>
      </c>
      <c r="D20" s="12">
        <v>315</v>
      </c>
      <c r="E20" s="12">
        <v>365.4</v>
      </c>
      <c r="F20" s="12"/>
      <c r="G20" s="12">
        <f>365.4+110.72</f>
        <v>476.12</v>
      </c>
      <c r="H20" s="32">
        <f>365.4</f>
        <v>365.4</v>
      </c>
      <c r="I20" s="24" t="s">
        <v>112</v>
      </c>
      <c r="J20" s="12"/>
      <c r="K20" s="12">
        <f>496.8+150.53</f>
        <v>647.33000000000004</v>
      </c>
      <c r="L20" s="12">
        <f>H20*1.053</f>
        <v>384.76619999999997</v>
      </c>
      <c r="M20" s="24"/>
      <c r="N20" s="12"/>
      <c r="O20" s="12">
        <f>506.4+153.44</f>
        <v>659.83999999999992</v>
      </c>
      <c r="P20" s="12">
        <f>L20*1.041</f>
        <v>400.54161419999991</v>
      </c>
      <c r="Q20" s="24"/>
    </row>
    <row r="21" spans="1:17" ht="202.5">
      <c r="A21" s="9" t="s">
        <v>126</v>
      </c>
      <c r="B21" s="18" t="s">
        <v>127</v>
      </c>
      <c r="C21" s="11" t="s">
        <v>33</v>
      </c>
      <c r="D21" s="12"/>
      <c r="E21" s="12">
        <v>114.2</v>
      </c>
      <c r="F21" s="12"/>
      <c r="G21" s="12"/>
      <c r="H21" s="32">
        <v>62.25</v>
      </c>
      <c r="I21" s="24" t="s">
        <v>128</v>
      </c>
      <c r="J21" s="12"/>
      <c r="K21" s="12"/>
      <c r="L21" s="12">
        <f>H21*1.053</f>
        <v>65.549250000000001</v>
      </c>
      <c r="M21" s="24"/>
      <c r="N21" s="12"/>
      <c r="O21" s="12"/>
      <c r="P21" s="12">
        <f>L21*1.041</f>
        <v>68.236769249999995</v>
      </c>
      <c r="Q21" s="24"/>
    </row>
    <row r="22" spans="1:17" ht="22.5">
      <c r="A22" s="3" t="s">
        <v>49</v>
      </c>
      <c r="B22" s="15" t="s">
        <v>50</v>
      </c>
      <c r="C22" s="4" t="s">
        <v>33</v>
      </c>
      <c r="D22" s="8">
        <f>D23+D26+D27</f>
        <v>1074.28</v>
      </c>
      <c r="E22" s="8">
        <f>E23+E26+E27</f>
        <v>1051.0600000000002</v>
      </c>
      <c r="F22" s="12"/>
      <c r="G22" s="8">
        <f t="shared" ref="G22:H22" si="5">G23+G26+G27</f>
        <v>987.86</v>
      </c>
      <c r="H22" s="8">
        <f t="shared" si="5"/>
        <v>846.07648160000008</v>
      </c>
      <c r="I22" s="24"/>
      <c r="J22" s="12"/>
      <c r="K22" s="8">
        <f t="shared" ref="K22" si="6">K23+K26+K27</f>
        <v>1026.5</v>
      </c>
      <c r="L22" s="8">
        <f t="shared" ref="L22" si="7">L23+L26+L27</f>
        <v>881.60746589939197</v>
      </c>
      <c r="M22" s="24"/>
      <c r="N22" s="12"/>
      <c r="O22" s="8">
        <f t="shared" ref="O22" si="8">O23+O26+O27</f>
        <v>1074</v>
      </c>
      <c r="P22" s="8">
        <f t="shared" ref="P22" si="9">P23+P26+P27</f>
        <v>922.29349152734062</v>
      </c>
      <c r="Q22" s="24"/>
    </row>
    <row r="23" spans="1:17" ht="112.5">
      <c r="A23" s="9" t="s">
        <v>51</v>
      </c>
      <c r="B23" s="14" t="s">
        <v>52</v>
      </c>
      <c r="C23" s="11" t="s">
        <v>33</v>
      </c>
      <c r="D23" s="12">
        <v>527.58000000000004</v>
      </c>
      <c r="E23" s="12">
        <v>692.69</v>
      </c>
      <c r="F23" s="23">
        <v>1.056</v>
      </c>
      <c r="G23" s="12">
        <v>620</v>
      </c>
      <c r="H23" s="12">
        <f>D23*1.056</f>
        <v>557.12448000000006</v>
      </c>
      <c r="I23" s="24" t="s">
        <v>101</v>
      </c>
      <c r="J23" s="23">
        <v>1.0469999999999999</v>
      </c>
      <c r="K23" s="12">
        <v>640</v>
      </c>
      <c r="L23" s="12">
        <f>H23*1.0473-2.75</f>
        <v>580.72646790400006</v>
      </c>
      <c r="M23" s="24" t="s">
        <v>123</v>
      </c>
      <c r="N23" s="23">
        <v>1.0469999999999999</v>
      </c>
      <c r="O23" s="12">
        <v>670</v>
      </c>
      <c r="P23" s="12">
        <f>L23*1.047</f>
        <v>608.02061189548806</v>
      </c>
      <c r="Q23" s="24" t="s">
        <v>104</v>
      </c>
    </row>
    <row r="24" spans="1:17" ht="22.5">
      <c r="A24" s="9" t="s">
        <v>53</v>
      </c>
      <c r="B24" s="17" t="s">
        <v>54</v>
      </c>
      <c r="C24" s="11" t="s">
        <v>34</v>
      </c>
      <c r="D24" s="13">
        <f>D23/D25/12*1000</f>
        <v>14655.000000000002</v>
      </c>
      <c r="E24" s="13">
        <f t="shared" ref="E24:H24" si="10">E23/E25/12*1000</f>
        <v>19241.388888888887</v>
      </c>
      <c r="F24" s="12"/>
      <c r="G24" s="13">
        <f t="shared" si="10"/>
        <v>10333.333333333334</v>
      </c>
      <c r="H24" s="13">
        <f t="shared" si="10"/>
        <v>15475.680000000002</v>
      </c>
      <c r="I24" s="24"/>
      <c r="J24" s="12"/>
      <c r="K24" s="13">
        <f t="shared" ref="K24" si="11">K23/K25/12*1000</f>
        <v>10666.666666666666</v>
      </c>
      <c r="L24" s="13">
        <f t="shared" ref="L24" si="12">L23/L25/12*1000</f>
        <v>16131.290775111114</v>
      </c>
      <c r="M24" s="24"/>
      <c r="N24" s="12"/>
      <c r="O24" s="13">
        <f t="shared" ref="O24" si="13">O23/O25/12*1000</f>
        <v>11166.666666666666</v>
      </c>
      <c r="P24" s="13">
        <f t="shared" ref="P24" si="14">P23/P25/12*1000</f>
        <v>16889.461441541334</v>
      </c>
      <c r="Q24" s="24"/>
    </row>
    <row r="25" spans="1:17" ht="45">
      <c r="A25" s="9" t="s">
        <v>55</v>
      </c>
      <c r="B25" s="17" t="s">
        <v>56</v>
      </c>
      <c r="C25" s="11" t="s">
        <v>35</v>
      </c>
      <c r="D25" s="12">
        <v>3</v>
      </c>
      <c r="E25" s="12">
        <v>3</v>
      </c>
      <c r="F25" s="12"/>
      <c r="G25" s="12">
        <v>5</v>
      </c>
      <c r="H25" s="12">
        <v>3</v>
      </c>
      <c r="I25" s="24" t="s">
        <v>102</v>
      </c>
      <c r="J25" s="12"/>
      <c r="K25" s="12">
        <v>5</v>
      </c>
      <c r="L25" s="12">
        <v>3</v>
      </c>
      <c r="M25" s="24" t="s">
        <v>102</v>
      </c>
      <c r="N25" s="12"/>
      <c r="O25" s="12">
        <v>5</v>
      </c>
      <c r="P25" s="12">
        <v>3</v>
      </c>
      <c r="Q25" s="24" t="s">
        <v>102</v>
      </c>
    </row>
    <row r="26" spans="1:17" ht="56.25">
      <c r="A26" s="9" t="s">
        <v>57</v>
      </c>
      <c r="B26" s="14" t="s">
        <v>58</v>
      </c>
      <c r="C26" s="11" t="s">
        <v>33</v>
      </c>
      <c r="D26" s="12">
        <v>159.86000000000001</v>
      </c>
      <c r="E26" s="12">
        <v>231.68</v>
      </c>
      <c r="F26" s="23">
        <v>1.056</v>
      </c>
      <c r="G26" s="12">
        <v>187.86</v>
      </c>
      <c r="H26" s="12">
        <f>H23*0.303</f>
        <v>168.80871744000001</v>
      </c>
      <c r="I26" s="24" t="s">
        <v>103</v>
      </c>
      <c r="J26" s="23">
        <v>1.0469999999999999</v>
      </c>
      <c r="K26" s="12">
        <v>190.5</v>
      </c>
      <c r="L26" s="12">
        <f>L23*0.303</f>
        <v>175.96011977491202</v>
      </c>
      <c r="M26" s="24" t="s">
        <v>103</v>
      </c>
      <c r="N26" s="23">
        <v>1.0469999999999999</v>
      </c>
      <c r="O26" s="12">
        <v>193</v>
      </c>
      <c r="P26" s="12">
        <f>P23*0.303</f>
        <v>184.23024540433289</v>
      </c>
      <c r="Q26" s="24" t="s">
        <v>103</v>
      </c>
    </row>
    <row r="27" spans="1:17" ht="67.5">
      <c r="A27" s="9" t="s">
        <v>59</v>
      </c>
      <c r="B27" s="14" t="s">
        <v>38</v>
      </c>
      <c r="C27" s="11" t="s">
        <v>33</v>
      </c>
      <c r="D27" s="12">
        <v>386.84</v>
      </c>
      <c r="E27" s="12">
        <f>E28+E29+E30+E31+E32+E33</f>
        <v>126.69</v>
      </c>
      <c r="F27" s="23">
        <v>1.052</v>
      </c>
      <c r="G27" s="12">
        <f>G28+G29+G30+G31+G32+G33</f>
        <v>180</v>
      </c>
      <c r="H27" s="12">
        <f>H28+H29+H30+H31+H32+H33</f>
        <v>120.14328416000001</v>
      </c>
      <c r="I27" s="24"/>
      <c r="J27" s="23">
        <v>1.0529999999999999</v>
      </c>
      <c r="K27" s="12">
        <f>K28+K29+K30+K31+K32+K33</f>
        <v>196</v>
      </c>
      <c r="L27" s="12">
        <f>L28+L29+L30+L31+L32+L33</f>
        <v>124.92087822047999</v>
      </c>
      <c r="M27" s="24" t="s">
        <v>99</v>
      </c>
      <c r="N27" s="23">
        <v>1.0409999999999999</v>
      </c>
      <c r="O27" s="12">
        <f>O28+O29+O30+O31+O32+O33</f>
        <v>211</v>
      </c>
      <c r="P27" s="12">
        <f>P28+P29+P30+P31+P32+P33</f>
        <v>130.04263422751967</v>
      </c>
      <c r="Q27" s="24" t="s">
        <v>100</v>
      </c>
    </row>
    <row r="28" spans="1:17" ht="45">
      <c r="A28" s="9" t="s">
        <v>76</v>
      </c>
      <c r="B28" s="14" t="s">
        <v>90</v>
      </c>
      <c r="C28" s="11" t="s">
        <v>33</v>
      </c>
      <c r="D28" s="12"/>
      <c r="E28" s="32">
        <v>46.68</v>
      </c>
      <c r="F28" s="12"/>
      <c r="G28" s="12">
        <v>50</v>
      </c>
      <c r="H28" s="12">
        <v>25.62</v>
      </c>
      <c r="I28" s="24" t="s">
        <v>122</v>
      </c>
      <c r="J28" s="12"/>
      <c r="K28" s="12">
        <v>53</v>
      </c>
      <c r="L28" s="12">
        <f>H28*1.053</f>
        <v>26.97786</v>
      </c>
      <c r="M28" s="24"/>
      <c r="N28" s="12"/>
      <c r="O28" s="12">
        <v>55</v>
      </c>
      <c r="P28" s="12">
        <f>L28*1.041</f>
        <v>28.083952259999997</v>
      </c>
      <c r="Q28" s="24"/>
    </row>
    <row r="29" spans="1:17" ht="78.75">
      <c r="A29" s="9" t="s">
        <v>77</v>
      </c>
      <c r="B29" s="14" t="s">
        <v>71</v>
      </c>
      <c r="C29" s="11" t="s">
        <v>33</v>
      </c>
      <c r="D29" s="12"/>
      <c r="E29" s="32">
        <v>10.61</v>
      </c>
      <c r="F29" s="12"/>
      <c r="G29" s="12">
        <v>36</v>
      </c>
      <c r="H29" s="12">
        <f>10.61008*1.052</f>
        <v>11.161804160000001</v>
      </c>
      <c r="I29" s="24" t="s">
        <v>105</v>
      </c>
      <c r="J29" s="12"/>
      <c r="K29" s="12">
        <v>37</v>
      </c>
      <c r="L29" s="12">
        <f t="shared" ref="L29:L30" si="15">H29*1.053</f>
        <v>11.75337978048</v>
      </c>
      <c r="M29" s="24"/>
      <c r="N29" s="12"/>
      <c r="O29" s="12">
        <v>38</v>
      </c>
      <c r="P29" s="12">
        <f t="shared" ref="P29:P33" si="16">L29*1.041</f>
        <v>12.235268351479679</v>
      </c>
      <c r="Q29" s="24"/>
    </row>
    <row r="30" spans="1:17" ht="78.75">
      <c r="A30" s="9" t="s">
        <v>78</v>
      </c>
      <c r="B30" s="14" t="s">
        <v>72</v>
      </c>
      <c r="C30" s="11" t="s">
        <v>33</v>
      </c>
      <c r="D30" s="12"/>
      <c r="E30" s="12">
        <v>18.600000000000001</v>
      </c>
      <c r="F30" s="12"/>
      <c r="G30" s="12">
        <v>20</v>
      </c>
      <c r="H30" s="12">
        <f>E30*1.052</f>
        <v>19.567200000000003</v>
      </c>
      <c r="I30" s="24" t="s">
        <v>106</v>
      </c>
      <c r="J30" s="12"/>
      <c r="K30" s="12">
        <v>30</v>
      </c>
      <c r="L30" s="12">
        <f t="shared" si="15"/>
        <v>20.604261600000001</v>
      </c>
      <c r="M30" s="24"/>
      <c r="N30" s="12"/>
      <c r="O30" s="12">
        <v>35</v>
      </c>
      <c r="P30" s="12">
        <f t="shared" si="16"/>
        <v>21.449036325599998</v>
      </c>
      <c r="Q30" s="24"/>
    </row>
    <row r="31" spans="1:17" ht="112.5">
      <c r="A31" s="9" t="s">
        <v>79</v>
      </c>
      <c r="B31" s="14" t="s">
        <v>73</v>
      </c>
      <c r="C31" s="11" t="s">
        <v>33</v>
      </c>
      <c r="D31" s="12"/>
      <c r="E31" s="26"/>
      <c r="F31" s="12"/>
      <c r="G31" s="12">
        <v>25</v>
      </c>
      <c r="H31" s="12">
        <f>(2.47552+0.07767)*12</f>
        <v>30.638279999999998</v>
      </c>
      <c r="I31" s="24" t="s">
        <v>124</v>
      </c>
      <c r="J31" s="23"/>
      <c r="K31" s="12">
        <v>27</v>
      </c>
      <c r="L31" s="12">
        <f>H31*1.053</f>
        <v>32.262108839999996</v>
      </c>
      <c r="M31" s="24"/>
      <c r="N31" s="12"/>
      <c r="O31" s="12">
        <v>29</v>
      </c>
      <c r="P31" s="12">
        <f t="shared" si="16"/>
        <v>33.584855302439991</v>
      </c>
      <c r="Q31" s="24"/>
    </row>
    <row r="32" spans="1:17">
      <c r="A32" s="9" t="s">
        <v>80</v>
      </c>
      <c r="B32" s="14" t="s">
        <v>74</v>
      </c>
      <c r="C32" s="11" t="s">
        <v>33</v>
      </c>
      <c r="D32" s="12"/>
      <c r="E32" s="32">
        <v>47.8</v>
      </c>
      <c r="F32" s="12"/>
      <c r="G32" s="12">
        <v>30</v>
      </c>
      <c r="H32" s="12">
        <f>G32</f>
        <v>30</v>
      </c>
      <c r="I32" s="24"/>
      <c r="J32" s="12"/>
      <c r="K32" s="12">
        <v>30</v>
      </c>
      <c r="L32" s="12">
        <f>K32</f>
        <v>30</v>
      </c>
      <c r="M32" s="24"/>
      <c r="N32" s="12"/>
      <c r="O32" s="12">
        <v>35</v>
      </c>
      <c r="P32" s="12">
        <f t="shared" si="16"/>
        <v>31.229999999999997</v>
      </c>
      <c r="Q32" s="24"/>
    </row>
    <row r="33" spans="1:17" ht="78.75">
      <c r="A33" s="9" t="s">
        <v>81</v>
      </c>
      <c r="B33" s="14" t="s">
        <v>75</v>
      </c>
      <c r="C33" s="11" t="s">
        <v>33</v>
      </c>
      <c r="D33" s="12"/>
      <c r="E33" s="32">
        <v>3</v>
      </c>
      <c r="F33" s="12"/>
      <c r="G33" s="12">
        <v>19</v>
      </c>
      <c r="H33" s="12">
        <f>E33*1.052</f>
        <v>3.1560000000000001</v>
      </c>
      <c r="I33" s="24" t="s">
        <v>105</v>
      </c>
      <c r="J33" s="12"/>
      <c r="K33" s="12">
        <v>19</v>
      </c>
      <c r="L33" s="12">
        <f t="shared" ref="L33" si="17">H33*1.053</f>
        <v>3.3232680000000001</v>
      </c>
      <c r="M33" s="24"/>
      <c r="N33" s="12"/>
      <c r="O33" s="12">
        <v>19</v>
      </c>
      <c r="P33" s="12">
        <f t="shared" si="16"/>
        <v>3.4595219879999997</v>
      </c>
      <c r="Q33" s="24"/>
    </row>
    <row r="34" spans="1:17" ht="22.5">
      <c r="A34" s="3" t="s">
        <v>86</v>
      </c>
      <c r="B34" s="15" t="s">
        <v>82</v>
      </c>
      <c r="C34" s="4" t="s">
        <v>33</v>
      </c>
      <c r="D34" s="8">
        <f>D35+D36+D37+D38</f>
        <v>0</v>
      </c>
      <c r="E34" s="8">
        <f>E35+E36+E37+E38</f>
        <v>18.95</v>
      </c>
      <c r="F34" s="23">
        <v>1</v>
      </c>
      <c r="G34" s="8">
        <f>G35+G36+G37+G38</f>
        <v>62.15</v>
      </c>
      <c r="H34" s="8">
        <f>H35+H36+H37+H38</f>
        <v>73.548999999999992</v>
      </c>
      <c r="I34" s="24"/>
      <c r="J34" s="23">
        <v>1</v>
      </c>
      <c r="K34" s="8">
        <f>K35+K36+K37+K38</f>
        <v>65</v>
      </c>
      <c r="L34" s="8">
        <f>L35+L36+L37+L38</f>
        <v>76.869699999999995</v>
      </c>
      <c r="M34" s="24"/>
      <c r="N34" s="23">
        <v>1</v>
      </c>
      <c r="O34" s="8">
        <f>O35+O36+O37+O38</f>
        <v>68</v>
      </c>
      <c r="P34" s="8">
        <f>P35+P36+P37+P38</f>
        <v>79.706800000000001</v>
      </c>
      <c r="Q34" s="24"/>
    </row>
    <row r="35" spans="1:17" ht="45">
      <c r="A35" s="9" t="s">
        <v>87</v>
      </c>
      <c r="B35" s="14" t="s">
        <v>83</v>
      </c>
      <c r="C35" s="11" t="s">
        <v>33</v>
      </c>
      <c r="D35" s="12"/>
      <c r="E35" s="12">
        <v>7.8</v>
      </c>
      <c r="F35" s="12"/>
      <c r="G35" s="12">
        <v>15</v>
      </c>
      <c r="H35" s="12"/>
      <c r="I35" s="24" t="s">
        <v>119</v>
      </c>
      <c r="J35" s="12"/>
      <c r="K35" s="12">
        <v>15</v>
      </c>
      <c r="L35" s="12"/>
      <c r="M35" s="24" t="s">
        <v>119</v>
      </c>
      <c r="N35" s="12"/>
      <c r="O35" s="12">
        <v>15</v>
      </c>
      <c r="P35" s="12"/>
      <c r="Q35" s="24" t="s">
        <v>119</v>
      </c>
    </row>
    <row r="36" spans="1:17" ht="45">
      <c r="A36" s="9" t="s">
        <v>88</v>
      </c>
      <c r="B36" s="14" t="s">
        <v>84</v>
      </c>
      <c r="C36" s="11" t="s">
        <v>33</v>
      </c>
      <c r="D36" s="12"/>
      <c r="E36" s="12">
        <v>11.15</v>
      </c>
      <c r="F36" s="12"/>
      <c r="G36" s="12">
        <v>20</v>
      </c>
      <c r="H36" s="12"/>
      <c r="I36" s="24" t="s">
        <v>119</v>
      </c>
      <c r="J36" s="12"/>
      <c r="K36" s="12">
        <v>20</v>
      </c>
      <c r="L36" s="12"/>
      <c r="M36" s="24" t="s">
        <v>119</v>
      </c>
      <c r="N36" s="12"/>
      <c r="O36" s="12">
        <v>20</v>
      </c>
      <c r="P36" s="12"/>
      <c r="Q36" s="24" t="s">
        <v>119</v>
      </c>
    </row>
    <row r="37" spans="1:17" ht="45">
      <c r="A37" s="9" t="s">
        <v>89</v>
      </c>
      <c r="B37" s="14" t="s">
        <v>85</v>
      </c>
      <c r="C37" s="11" t="s">
        <v>33</v>
      </c>
      <c r="D37" s="12"/>
      <c r="E37" s="12"/>
      <c r="F37" s="12"/>
      <c r="G37" s="12">
        <f>62.15-G35-G36</f>
        <v>27.15</v>
      </c>
      <c r="H37" s="12"/>
      <c r="I37" s="24" t="s">
        <v>119</v>
      </c>
      <c r="J37" s="12"/>
      <c r="K37" s="12">
        <f>65-K35-K36</f>
        <v>30</v>
      </c>
      <c r="L37" s="12"/>
      <c r="M37" s="24" t="s">
        <v>119</v>
      </c>
      <c r="N37" s="12"/>
      <c r="O37" s="12">
        <f>68-O35-O36</f>
        <v>33</v>
      </c>
      <c r="P37" s="12"/>
      <c r="Q37" s="24" t="s">
        <v>119</v>
      </c>
    </row>
    <row r="38" spans="1:17" ht="56.25">
      <c r="A38" s="9" t="s">
        <v>125</v>
      </c>
      <c r="B38" s="14" t="s">
        <v>120</v>
      </c>
      <c r="C38" s="11" t="s">
        <v>33</v>
      </c>
      <c r="D38" s="12"/>
      <c r="E38" s="12"/>
      <c r="F38" s="12"/>
      <c r="G38" s="12"/>
      <c r="H38" s="36">
        <f>2460.3*6%/2-0.26</f>
        <v>73.548999999999992</v>
      </c>
      <c r="I38" s="24" t="s">
        <v>121</v>
      </c>
      <c r="J38" s="12"/>
      <c r="K38" s="12"/>
      <c r="L38" s="36">
        <f>2563.99*6%/2-0.05</f>
        <v>76.869699999999995</v>
      </c>
      <c r="M38" s="24" t="s">
        <v>121</v>
      </c>
      <c r="N38" s="12"/>
      <c r="O38" s="12"/>
      <c r="P38" s="36">
        <f>2660.56*6%/2-0.11</f>
        <v>79.706800000000001</v>
      </c>
      <c r="Q38" s="24" t="s">
        <v>121</v>
      </c>
    </row>
    <row r="39" spans="1:17" s="34" customFormat="1">
      <c r="A39" s="27" t="s">
        <v>107</v>
      </c>
      <c r="B39" s="28" t="s">
        <v>108</v>
      </c>
      <c r="C39" s="29" t="s">
        <v>33</v>
      </c>
      <c r="D39" s="16">
        <f>D40+D41</f>
        <v>0</v>
      </c>
      <c r="E39" s="16">
        <f>E40+E41</f>
        <v>485.08</v>
      </c>
      <c r="F39" s="16"/>
      <c r="G39" s="16">
        <f>G40+G41</f>
        <v>0</v>
      </c>
      <c r="H39" s="16">
        <f>H40+H41</f>
        <v>0</v>
      </c>
      <c r="I39" s="33"/>
      <c r="J39" s="16"/>
      <c r="K39" s="16">
        <f>K40+K41</f>
        <v>0</v>
      </c>
      <c r="L39" s="16">
        <f>L40+L41</f>
        <v>0</v>
      </c>
      <c r="M39" s="33"/>
      <c r="N39" s="16"/>
      <c r="O39" s="16">
        <f>O40+O41</f>
        <v>0</v>
      </c>
      <c r="P39" s="16">
        <f>P40+P41</f>
        <v>0</v>
      </c>
      <c r="Q39" s="33"/>
    </row>
    <row r="40" spans="1:17" ht="22.5">
      <c r="A40" s="30" t="s">
        <v>109</v>
      </c>
      <c r="B40" s="14" t="s">
        <v>110</v>
      </c>
      <c r="C40" s="31" t="s">
        <v>33</v>
      </c>
      <c r="D40" s="12"/>
      <c r="E40" s="12">
        <v>474.65</v>
      </c>
      <c r="F40" s="12"/>
      <c r="G40" s="12"/>
      <c r="H40" s="12"/>
      <c r="I40" s="24"/>
      <c r="J40" s="12"/>
      <c r="K40" s="12"/>
      <c r="L40" s="12"/>
      <c r="M40" s="24"/>
      <c r="N40" s="12"/>
      <c r="O40" s="12"/>
      <c r="P40" s="12"/>
      <c r="Q40" s="24"/>
    </row>
    <row r="41" spans="1:17" ht="22.5">
      <c r="A41" s="30" t="s">
        <v>111</v>
      </c>
      <c r="B41" s="14" t="s">
        <v>117</v>
      </c>
      <c r="C41" s="31" t="s">
        <v>33</v>
      </c>
      <c r="D41" s="12"/>
      <c r="E41" s="12">
        <f>4.9+5.53</f>
        <v>10.43</v>
      </c>
      <c r="F41" s="12"/>
      <c r="G41" s="12"/>
      <c r="H41" s="12"/>
      <c r="I41" s="24"/>
      <c r="J41" s="23"/>
      <c r="K41" s="12"/>
      <c r="L41" s="12"/>
      <c r="M41" s="24"/>
      <c r="N41" s="23"/>
      <c r="O41" s="12"/>
      <c r="P41" s="12"/>
      <c r="Q41" s="24"/>
    </row>
    <row r="42" spans="1:17">
      <c r="A42" s="5" t="s">
        <v>13</v>
      </c>
      <c r="B42" s="6" t="s">
        <v>60</v>
      </c>
      <c r="C42" s="7" t="s">
        <v>33</v>
      </c>
      <c r="D42" s="8">
        <f>D14+D34</f>
        <v>2505.9499999999998</v>
      </c>
      <c r="E42" s="8">
        <f>E14</f>
        <v>4181.07</v>
      </c>
      <c r="F42" s="12"/>
      <c r="G42" s="35">
        <v>4108.25</v>
      </c>
      <c r="H42" s="8">
        <f>H14</f>
        <v>2460.0361216000001</v>
      </c>
      <c r="I42" s="24"/>
      <c r="J42" s="12"/>
      <c r="K42" s="35">
        <v>4365.16</v>
      </c>
      <c r="L42" s="8">
        <f>L14</f>
        <v>2563.9935698193922</v>
      </c>
      <c r="M42" s="24"/>
      <c r="N42" s="12"/>
      <c r="O42" s="35">
        <v>4653.1099999999997</v>
      </c>
      <c r="P42" s="8">
        <f>P14</f>
        <v>2660.5508680080602</v>
      </c>
      <c r="Q42" s="24"/>
    </row>
    <row r="43" spans="1:17">
      <c r="A43" s="5" t="s">
        <v>15</v>
      </c>
      <c r="B43" s="6" t="s">
        <v>61</v>
      </c>
      <c r="C43" s="7" t="s">
        <v>62</v>
      </c>
      <c r="D43" s="8">
        <f>D42/D9*1000</f>
        <v>47.490082030993861</v>
      </c>
      <c r="E43" s="8">
        <f>E42/E9*1000</f>
        <v>79.94223452873112</v>
      </c>
      <c r="F43" s="25">
        <f>H43/D43</f>
        <v>0.98167805486941084</v>
      </c>
      <c r="G43" s="35">
        <v>78.55</v>
      </c>
      <c r="H43" s="8">
        <f>H42/H9*1000</f>
        <v>46.619971353774815</v>
      </c>
      <c r="I43" s="24"/>
      <c r="J43" s="25">
        <f>L43/H43</f>
        <v>1.042258504786417</v>
      </c>
      <c r="K43" s="35">
        <v>82.03</v>
      </c>
      <c r="L43" s="8">
        <f>L42/L9*1000</f>
        <v>48.590061636370933</v>
      </c>
      <c r="M43" s="24"/>
      <c r="N43" s="25">
        <f>P43/L43</f>
        <v>1.0376589470914583</v>
      </c>
      <c r="O43" s="35">
        <v>84.79</v>
      </c>
      <c r="P43" s="8">
        <f>P42/P9*1000</f>
        <v>50.419912196705724</v>
      </c>
      <c r="Q43" s="24"/>
    </row>
    <row r="44" spans="1:17">
      <c r="A44" s="5" t="s">
        <v>17</v>
      </c>
      <c r="B44" s="6" t="s">
        <v>63</v>
      </c>
      <c r="C44" s="7" t="s">
        <v>33</v>
      </c>
      <c r="D44" s="8">
        <f>D23</f>
        <v>527.58000000000004</v>
      </c>
      <c r="E44" s="8">
        <f t="shared" ref="E44:H44" si="18">E23</f>
        <v>692.69</v>
      </c>
      <c r="F44" s="12"/>
      <c r="G44" s="8">
        <f t="shared" si="18"/>
        <v>620</v>
      </c>
      <c r="H44" s="8">
        <f t="shared" si="18"/>
        <v>557.12448000000006</v>
      </c>
      <c r="I44" s="24"/>
      <c r="J44" s="12"/>
      <c r="K44" s="8">
        <f t="shared" ref="K44:L44" si="19">K23</f>
        <v>640</v>
      </c>
      <c r="L44" s="8">
        <f t="shared" si="19"/>
        <v>580.72646790400006</v>
      </c>
      <c r="M44" s="24"/>
      <c r="N44" s="12"/>
      <c r="O44" s="8">
        <f t="shared" ref="O44:P44" si="20">O23</f>
        <v>670</v>
      </c>
      <c r="P44" s="8">
        <f t="shared" si="20"/>
        <v>608.02061189548806</v>
      </c>
      <c r="Q44" s="24"/>
    </row>
    <row r="45" spans="1:17">
      <c r="A45" s="5" t="s">
        <v>18</v>
      </c>
      <c r="B45" s="6" t="s">
        <v>64</v>
      </c>
      <c r="C45" s="7" t="s">
        <v>35</v>
      </c>
      <c r="D45" s="8">
        <f>D25</f>
        <v>3</v>
      </c>
      <c r="E45" s="8">
        <f t="shared" ref="E45:H45" si="21">E25</f>
        <v>3</v>
      </c>
      <c r="F45" s="12"/>
      <c r="G45" s="8">
        <f t="shared" si="21"/>
        <v>5</v>
      </c>
      <c r="H45" s="8">
        <f t="shared" si="21"/>
        <v>3</v>
      </c>
      <c r="I45" s="24"/>
      <c r="J45" s="12"/>
      <c r="K45" s="8">
        <f t="shared" ref="K45:L45" si="22">K25</f>
        <v>5</v>
      </c>
      <c r="L45" s="8">
        <f t="shared" si="22"/>
        <v>3</v>
      </c>
      <c r="M45" s="24"/>
      <c r="N45" s="12"/>
      <c r="O45" s="8">
        <f t="shared" ref="O45:P45" si="23">O25</f>
        <v>5</v>
      </c>
      <c r="P45" s="8">
        <f t="shared" si="23"/>
        <v>3</v>
      </c>
      <c r="Q45" s="24"/>
    </row>
    <row r="46" spans="1:17" ht="22.5">
      <c r="A46" s="5" t="s">
        <v>19</v>
      </c>
      <c r="B46" s="6" t="s">
        <v>65</v>
      </c>
      <c r="C46" s="7" t="s">
        <v>34</v>
      </c>
      <c r="D46" s="8">
        <f>D44/D45/12*1000</f>
        <v>14655.000000000002</v>
      </c>
      <c r="E46" s="8">
        <f t="shared" ref="E46:H46" si="24">E44/E45/12*1000</f>
        <v>19241.388888888887</v>
      </c>
      <c r="F46" s="12"/>
      <c r="G46" s="8">
        <f t="shared" si="24"/>
        <v>10333.333333333334</v>
      </c>
      <c r="H46" s="8">
        <f t="shared" si="24"/>
        <v>15475.680000000002</v>
      </c>
      <c r="I46" s="24"/>
      <c r="J46" s="12"/>
      <c r="K46" s="8">
        <f t="shared" ref="K46" si="25">K44/K45/12*1000</f>
        <v>10666.666666666666</v>
      </c>
      <c r="L46" s="8">
        <f t="shared" ref="L46" si="26">L44/L45/12*1000</f>
        <v>16131.290775111114</v>
      </c>
      <c r="M46" s="24"/>
      <c r="N46" s="12"/>
      <c r="O46" s="8">
        <f t="shared" ref="O46" si="27">O44/O45/12*1000</f>
        <v>11166.666666666666</v>
      </c>
      <c r="P46" s="8">
        <f t="shared" ref="P46" si="28">P44/P45/12*1000</f>
        <v>16889.461441541334</v>
      </c>
      <c r="Q46" s="24"/>
    </row>
    <row r="48" spans="1:17">
      <c r="H48" s="37"/>
      <c r="L48" s="37"/>
      <c r="P48" s="37">
        <f>50.42*P9/1000</f>
        <v>2660.5555012000004</v>
      </c>
    </row>
    <row r="49" spans="8:16">
      <c r="H49" s="37"/>
      <c r="L49" s="37"/>
      <c r="P49" s="37">
        <f>P48-P42</f>
        <v>4.6331919402291533E-3</v>
      </c>
    </row>
  </sheetData>
  <mergeCells count="18">
    <mergeCell ref="J5:L5"/>
    <mergeCell ref="N5:P5"/>
    <mergeCell ref="B5:B6"/>
    <mergeCell ref="C5:C6"/>
    <mergeCell ref="Q5:Q6"/>
    <mergeCell ref="O8:P8"/>
    <mergeCell ref="A2:Q2"/>
    <mergeCell ref="A3:Q3"/>
    <mergeCell ref="A4:Q4"/>
    <mergeCell ref="D8:E8"/>
    <mergeCell ref="G8:H8"/>
    <mergeCell ref="D5:D6"/>
    <mergeCell ref="E5:E6"/>
    <mergeCell ref="K8:L8"/>
    <mergeCell ref="M5:M6"/>
    <mergeCell ref="I5:I6"/>
    <mergeCell ref="A5:A6"/>
    <mergeCell ref="F5:H5"/>
  </mergeCells>
  <printOptions horizontalCentered="1"/>
  <pageMargins left="0" right="0" top="0" bottom="0" header="0.31496062992125984" footer="0.31496062992125984"/>
  <pageSetup paperSize="9" scale="5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antonenko</dc:creator>
  <cp:lastModifiedBy>lexx</cp:lastModifiedBy>
  <cp:lastPrinted>2014-07-21T09:44:14Z</cp:lastPrinted>
  <dcterms:created xsi:type="dcterms:W3CDTF">2014-05-22T08:40:23Z</dcterms:created>
  <dcterms:modified xsi:type="dcterms:W3CDTF">2014-07-21T09:45:14Z</dcterms:modified>
</cp:coreProperties>
</file>